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255" windowWidth="22455" windowHeight="9150" activeTab="2"/>
  </bookViews>
  <sheets>
    <sheet name="Diagramm1" sheetId="1" r:id="rId1"/>
    <sheet name="Diagramm2" sheetId="2" r:id="rId2"/>
    <sheet name="Tabelle1" sheetId="3" r:id="rId3"/>
  </sheets>
  <definedNames/>
  <calcPr fullCalcOnLoad="1"/>
</workbook>
</file>

<file path=xl/comments3.xml><?xml version="1.0" encoding="utf-8"?>
<comments xmlns="http://schemas.openxmlformats.org/spreadsheetml/2006/main">
  <authors>
    <author>Leopold Kober</author>
    <author>Wiedenhofer Helmut</author>
  </authors>
  <commentList>
    <comment ref="B5" authorId="0">
      <text>
        <r>
          <rPr>
            <sz val="12"/>
            <rFont val="Tahoma"/>
            <family val="2"/>
          </rPr>
          <t>Datum ändern!</t>
        </r>
      </text>
    </comment>
    <comment ref="B2" authorId="1">
      <text>
        <r>
          <rPr>
            <sz val="12"/>
            <rFont val="Tahoma"/>
            <family val="2"/>
          </rPr>
          <t>Kupferzuschlag
eingeben!</t>
        </r>
      </text>
    </comment>
    <comment ref="I2" authorId="1">
      <text>
        <r>
          <rPr>
            <sz val="12"/>
            <rFont val="Tahoma"/>
            <family val="2"/>
          </rPr>
          <t>Aluzuschlag
eingeben!</t>
        </r>
      </text>
    </comment>
  </commentList>
</comments>
</file>

<file path=xl/sharedStrings.xml><?xml version="1.0" encoding="utf-8"?>
<sst xmlns="http://schemas.openxmlformats.org/spreadsheetml/2006/main" count="44" uniqueCount="26">
  <si>
    <t>Zuschlag:</t>
  </si>
  <si>
    <t>1polig</t>
  </si>
  <si>
    <t>2polig</t>
  </si>
  <si>
    <t>3polig</t>
  </si>
  <si>
    <t>4polig</t>
  </si>
  <si>
    <t>5polig</t>
  </si>
  <si>
    <t>Querschnitt</t>
  </si>
  <si>
    <t>7polig</t>
  </si>
  <si>
    <t>vom:</t>
  </si>
  <si>
    <t>Durchmesser</t>
  </si>
  <si>
    <t>6polig</t>
  </si>
  <si>
    <t>10polig</t>
  </si>
  <si>
    <t>12polig</t>
  </si>
  <si>
    <t>20polig</t>
  </si>
  <si>
    <t>Die Formel dazu lautet:</t>
  </si>
  <si>
    <t>Zuschläge pro 100 Meter für F-YAY, JB-Y, Mono-Leitungen:</t>
  </si>
  <si>
    <t>Zuschläge pro 100 Meter für YSLCY-Leitungen:</t>
  </si>
  <si>
    <t>Zuschläge pro 100 Meter für Ye, Ym, Yf, YM, YMl, YMM, XYMM, YSLY, GML, YY-Leitungen:</t>
  </si>
  <si>
    <t>pro 100kg SKONTIERBAR</t>
  </si>
  <si>
    <t>Zuschläge pro 100 Meter für Daten-Leitungen:</t>
  </si>
  <si>
    <t>Cat5</t>
  </si>
  <si>
    <t>Cat7</t>
  </si>
  <si>
    <t>Zuschläge pro 100 Meter für PVC-isolierte Kabel mit Aluminiumleiter:</t>
  </si>
  <si>
    <t>3x240/120</t>
  </si>
  <si>
    <t>Weitere Kabeltypen bitte selbst ausrechnen!</t>
  </si>
  <si>
    <t>(Zuschlag:100) X (Kupfer/Aluzahl:10) = Kupfer/Aluzuschlag/100m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</si>
</sst>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[$€-2]\ #,##0.00"/>
    <numFmt numFmtId="181" formatCode="d/\ mmm\ yy"/>
    <numFmt numFmtId="182" formatCode="#,##0.00\ &quot;DM&quot;"/>
    <numFmt numFmtId="183" formatCode="&quot;KUPFERZUSCHLAG/100kg&quot;\ 0.00"/>
    <numFmt numFmtId="184" formatCode="&quot;KUPFERZUSCHLAG/100kg:&quot;\ 0.00"/>
    <numFmt numFmtId="185" formatCode="&quot;KUPFERZUSCHLAG/100kg:&quot;&quot;€&quot;\ 0.00"/>
    <numFmt numFmtId="186" formatCode="&quot;KUPFERZUSCHLAG/100kg:&quot;\ &quot;€&quot;\ 0.00"/>
    <numFmt numFmtId="187" formatCode="&quot;ALUZUSCHLAG/100kg:&quot;\ &quot;€&quot;\ 0.00"/>
    <numFmt numFmtId="188" formatCode="#,##0.00\ _€"/>
  </numFmts>
  <fonts count="47">
    <font>
      <sz val="10"/>
      <name val="Arial"/>
      <family val="0"/>
    </font>
    <font>
      <b/>
      <sz val="10"/>
      <name val="Tahoma"/>
      <family val="2"/>
    </font>
    <font>
      <b/>
      <sz val="10"/>
      <name val="Arial"/>
      <family val="2"/>
    </font>
    <font>
      <sz val="12"/>
      <name val="Tahoma"/>
      <family val="2"/>
    </font>
    <font>
      <b/>
      <u val="single"/>
      <sz val="16"/>
      <name val="Tahoma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6.3"/>
      <color indexed="63"/>
      <name val="Calibri"/>
      <family val="0"/>
    </font>
    <font>
      <sz val="8.25"/>
      <color indexed="63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177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179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Fill="1" applyBorder="1" applyAlignment="1" applyProtection="1">
      <alignment/>
      <protection/>
    </xf>
    <xf numFmtId="2" fontId="0" fillId="0" borderId="0" xfId="0" applyNumberForma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horizontal="right"/>
      <protection/>
    </xf>
    <xf numFmtId="0" fontId="1" fillId="33" borderId="10" xfId="0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/>
      <protection/>
    </xf>
    <xf numFmtId="2" fontId="0" fillId="33" borderId="10" xfId="0" applyNumberFormat="1" applyFill="1" applyBorder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/>
      <protection/>
    </xf>
    <xf numFmtId="0" fontId="0" fillId="33" borderId="10" xfId="0" applyFill="1" applyBorder="1" applyAlignment="1" applyProtection="1">
      <alignment/>
      <protection/>
    </xf>
    <xf numFmtId="2" fontId="0" fillId="33" borderId="0" xfId="0" applyNumberFormat="1" applyFill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/>
      <protection/>
    </xf>
    <xf numFmtId="0" fontId="2" fillId="33" borderId="10" xfId="0" applyFont="1" applyFill="1" applyBorder="1" applyAlignment="1" applyProtection="1">
      <alignment horizontal="right"/>
      <protection/>
    </xf>
    <xf numFmtId="2" fontId="0" fillId="33" borderId="11" xfId="0" applyNumberFormat="1" applyFill="1" applyBorder="1" applyAlignment="1" applyProtection="1">
      <alignment horizontal="center"/>
      <protection/>
    </xf>
    <xf numFmtId="2" fontId="0" fillId="33" borderId="12" xfId="0" applyNumberFormat="1" applyFill="1" applyBorder="1" applyAlignment="1" applyProtection="1">
      <alignment horizontal="center"/>
      <protection/>
    </xf>
    <xf numFmtId="2" fontId="0" fillId="33" borderId="13" xfId="0" applyNumberFormat="1" applyFill="1" applyBorder="1" applyAlignment="1" applyProtection="1">
      <alignment horizontal="center"/>
      <protection/>
    </xf>
    <xf numFmtId="2" fontId="0" fillId="33" borderId="14" xfId="0" applyNumberFormat="1" applyFill="1" applyBorder="1" applyAlignment="1" applyProtection="1">
      <alignment horizontal="center"/>
      <protection/>
    </xf>
    <xf numFmtId="2" fontId="0" fillId="33" borderId="15" xfId="0" applyNumberFormat="1" applyFill="1" applyBorder="1" applyAlignment="1" applyProtection="1">
      <alignment horizontal="center"/>
      <protection/>
    </xf>
    <xf numFmtId="2" fontId="0" fillId="33" borderId="16" xfId="0" applyNumberFormat="1" applyFill="1" applyBorder="1" applyAlignment="1" applyProtection="1">
      <alignment horizontal="center"/>
      <protection/>
    </xf>
    <xf numFmtId="0" fontId="1" fillId="34" borderId="10" xfId="0" applyFont="1" applyFill="1" applyBorder="1" applyAlignment="1" applyProtection="1">
      <alignment horizontal="right"/>
      <protection/>
    </xf>
    <xf numFmtId="0" fontId="1" fillId="34" borderId="10" xfId="0" applyFont="1" applyFill="1" applyBorder="1" applyAlignment="1" applyProtection="1">
      <alignment horizontal="center"/>
      <protection/>
    </xf>
    <xf numFmtId="0" fontId="2" fillId="34" borderId="10" xfId="0" applyFont="1" applyFill="1" applyBorder="1" applyAlignment="1" applyProtection="1">
      <alignment/>
      <protection/>
    </xf>
    <xf numFmtId="2" fontId="0" fillId="34" borderId="10" xfId="0" applyNumberFormat="1" applyFill="1" applyBorder="1" applyAlignment="1" applyProtection="1">
      <alignment horizontal="center"/>
      <protection/>
    </xf>
    <xf numFmtId="0" fontId="0" fillId="34" borderId="10" xfId="0" applyFill="1" applyBorder="1" applyAlignment="1" applyProtection="1">
      <alignment/>
      <protection/>
    </xf>
    <xf numFmtId="0" fontId="2" fillId="34" borderId="10" xfId="0" applyFont="1" applyFill="1" applyBorder="1" applyAlignment="1" applyProtection="1">
      <alignment horizontal="right"/>
      <protection/>
    </xf>
    <xf numFmtId="2" fontId="0" fillId="0" borderId="0" xfId="0" applyNumberForma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7" xfId="0" applyFill="1" applyBorder="1" applyAlignment="1">
      <alignment/>
    </xf>
    <xf numFmtId="186" fontId="0" fillId="33" borderId="18" xfId="0" applyNumberFormat="1" applyFill="1" applyBorder="1" applyAlignment="1" applyProtection="1">
      <alignment horizontal="center"/>
      <protection locked="0"/>
    </xf>
    <xf numFmtId="0" fontId="0" fillId="33" borderId="17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18" xfId="0" applyFill="1" applyBorder="1" applyAlignment="1" applyProtection="1">
      <alignment/>
      <protection locked="0"/>
    </xf>
    <xf numFmtId="0" fontId="1" fillId="33" borderId="17" xfId="0" applyFont="1" applyFill="1" applyBorder="1" applyAlignment="1" applyProtection="1">
      <alignment horizontal="right"/>
      <protection/>
    </xf>
    <xf numFmtId="180" fontId="6" fillId="33" borderId="0" xfId="0" applyNumberFormat="1" applyFont="1" applyFill="1" applyBorder="1" applyAlignment="1" applyProtection="1">
      <alignment/>
      <protection/>
    </xf>
    <xf numFmtId="2" fontId="6" fillId="33" borderId="0" xfId="0" applyNumberFormat="1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/>
      <protection/>
    </xf>
    <xf numFmtId="0" fontId="1" fillId="33" borderId="17" xfId="0" applyFont="1" applyFill="1" applyBorder="1" applyAlignment="1" applyProtection="1">
      <alignment horizontal="right"/>
      <protection locked="0"/>
    </xf>
    <xf numFmtId="181" fontId="6" fillId="33" borderId="0" xfId="0" applyNumberFormat="1" applyFont="1" applyFill="1" applyBorder="1" applyAlignment="1" applyProtection="1">
      <alignment/>
      <protection locked="0"/>
    </xf>
    <xf numFmtId="0" fontId="2" fillId="33" borderId="17" xfId="0" applyFont="1" applyFill="1" applyBorder="1" applyAlignment="1" applyProtection="1">
      <alignment/>
      <protection/>
    </xf>
    <xf numFmtId="0" fontId="0" fillId="33" borderId="18" xfId="0" applyFill="1" applyBorder="1" applyAlignment="1" applyProtection="1">
      <alignment horizontal="center"/>
      <protection/>
    </xf>
    <xf numFmtId="2" fontId="0" fillId="33" borderId="18" xfId="0" applyNumberFormat="1" applyFill="1" applyBorder="1" applyAlignment="1" applyProtection="1">
      <alignment horizontal="center"/>
      <protection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8" xfId="0" applyFill="1" applyBorder="1" applyAlignment="1">
      <alignment/>
    </xf>
    <xf numFmtId="0" fontId="1" fillId="34" borderId="17" xfId="0" applyFont="1" applyFill="1" applyBorder="1" applyAlignment="1" applyProtection="1">
      <alignment horizontal="right"/>
      <protection/>
    </xf>
    <xf numFmtId="180" fontId="6" fillId="34" borderId="0" xfId="0" applyNumberFormat="1" applyFont="1" applyFill="1" applyBorder="1" applyAlignment="1" applyProtection="1">
      <alignment/>
      <protection/>
    </xf>
    <xf numFmtId="2" fontId="6" fillId="34" borderId="0" xfId="0" applyNumberFormat="1" applyFont="1" applyFill="1" applyBorder="1" applyAlignment="1" applyProtection="1">
      <alignment/>
      <protection/>
    </xf>
    <xf numFmtId="0" fontId="5" fillId="34" borderId="0" xfId="0" applyFont="1" applyFill="1" applyBorder="1" applyAlignment="1" applyProtection="1">
      <alignment/>
      <protection/>
    </xf>
    <xf numFmtId="0" fontId="1" fillId="34" borderId="17" xfId="0" applyFont="1" applyFill="1" applyBorder="1" applyAlignment="1" applyProtection="1">
      <alignment horizontal="right"/>
      <protection locked="0"/>
    </xf>
    <xf numFmtId="181" fontId="6" fillId="34" borderId="0" xfId="0" applyNumberFormat="1" applyFont="1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 locked="0"/>
    </xf>
    <xf numFmtId="0" fontId="1" fillId="35" borderId="17" xfId="0" applyFont="1" applyFill="1" applyBorder="1" applyAlignment="1" applyProtection="1">
      <alignment horizontal="center"/>
      <protection/>
    </xf>
    <xf numFmtId="0" fontId="1" fillId="35" borderId="0" xfId="0" applyFont="1" applyFill="1" applyBorder="1" applyAlignment="1" applyProtection="1">
      <alignment horizontal="center"/>
      <protection/>
    </xf>
    <xf numFmtId="0" fontId="1" fillId="35" borderId="18" xfId="0" applyFont="1" applyFill="1" applyBorder="1" applyAlignment="1" applyProtection="1">
      <alignment horizontal="center"/>
      <protection/>
    </xf>
    <xf numFmtId="0" fontId="1" fillId="35" borderId="14" xfId="0" applyFont="1" applyFill="1" applyBorder="1" applyAlignment="1" applyProtection="1">
      <alignment horizontal="center"/>
      <protection/>
    </xf>
    <xf numFmtId="0" fontId="1" fillId="35" borderId="15" xfId="0" applyFont="1" applyFill="1" applyBorder="1" applyAlignment="1" applyProtection="1">
      <alignment horizontal="center"/>
      <protection/>
    </xf>
    <xf numFmtId="0" fontId="1" fillId="35" borderId="16" xfId="0" applyFont="1" applyFill="1" applyBorder="1" applyAlignment="1" applyProtection="1">
      <alignment horizontal="center"/>
      <protection/>
    </xf>
    <xf numFmtId="187" fontId="4" fillId="34" borderId="17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Border="1" applyAlignment="1">
      <alignment/>
    </xf>
    <xf numFmtId="0" fontId="5" fillId="0" borderId="18" xfId="0" applyFont="1" applyBorder="1" applyAlignment="1">
      <alignment/>
    </xf>
    <xf numFmtId="0" fontId="1" fillId="33" borderId="14" xfId="0" applyFont="1" applyFill="1" applyBorder="1" applyAlignment="1" applyProtection="1">
      <alignment horizontal="center"/>
      <protection/>
    </xf>
    <xf numFmtId="0" fontId="0" fillId="33" borderId="15" xfId="0" applyFill="1" applyBorder="1" applyAlignment="1" applyProtection="1">
      <alignment horizontal="center"/>
      <protection/>
    </xf>
    <xf numFmtId="0" fontId="0" fillId="33" borderId="16" xfId="0" applyFill="1" applyBorder="1" applyAlignment="1" applyProtection="1">
      <alignment horizontal="center"/>
      <protection/>
    </xf>
    <xf numFmtId="0" fontId="1" fillId="34" borderId="14" xfId="0" applyFont="1" applyFill="1" applyBorder="1" applyAlignment="1" applyProtection="1">
      <alignment horizontal="center"/>
      <protection/>
    </xf>
    <xf numFmtId="0" fontId="0" fillId="34" borderId="15" xfId="0" applyFill="1" applyBorder="1" applyAlignment="1" applyProtection="1">
      <alignment horizontal="center"/>
      <protection/>
    </xf>
    <xf numFmtId="0" fontId="0" fillId="34" borderId="16" xfId="0" applyFill="1" applyBorder="1" applyAlignment="1" applyProtection="1">
      <alignment horizontal="center"/>
      <protection/>
    </xf>
    <xf numFmtId="186" fontId="4" fillId="33" borderId="0" xfId="0" applyNumberFormat="1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>
      <alignment horizontal="center"/>
    </xf>
    <xf numFmtId="0" fontId="1" fillId="0" borderId="0" xfId="0" applyFont="1" applyAlignment="1" applyProtection="1">
      <alignment horizontal="center"/>
      <protection/>
    </xf>
    <xf numFmtId="0" fontId="1" fillId="35" borderId="11" xfId="0" applyFont="1" applyFill="1" applyBorder="1" applyAlignment="1" applyProtection="1">
      <alignment horizontal="center"/>
      <protection/>
    </xf>
    <xf numFmtId="0" fontId="1" fillId="35" borderId="12" xfId="0" applyFont="1" applyFill="1" applyBorder="1" applyAlignment="1" applyProtection="1">
      <alignment horizontal="center"/>
      <protection/>
    </xf>
    <xf numFmtId="0" fontId="1" fillId="35" borderId="13" xfId="0" applyFont="1" applyFill="1" applyBorder="1" applyAlignment="1" applyProtection="1">
      <alignment horizontal="center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8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008"/>
          <c:y val="0.06025"/>
          <c:w val="0.97575"/>
          <c:h val="0.92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Tabelle1!$A$4</c:f>
              <c:strCache>
                <c:ptCount val="1"/>
                <c:pt idx="0">
                  <c:v>Zuschlag: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Tabelle1!$B$2:$F$3</c:f>
              <c:multiLvlStrCache>
                <c:ptCount val="1"/>
                <c:lvl>
                  <c:pt idx="0">
                    <c:v>KUPFERZUSCHLAG/100kg: € 855,62</c:v>
                  </c:pt>
                </c:lvl>
              </c:multiLvlStrCache>
            </c:multiLvlStrRef>
          </c:cat>
          <c:val>
            <c:numRef>
              <c:f>Tabelle1!$B$4:$F$4</c:f>
              <c:numCache>
                <c:ptCount val="5"/>
                <c:pt idx="0">
                  <c:v>900.6526315789474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Tabelle1!$A$5</c:f>
              <c:strCache>
                <c:ptCount val="1"/>
                <c:pt idx="0">
                  <c:v>vom: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Tabelle1!$B$2:$F$3</c:f>
              <c:multiLvlStrCache>
                <c:ptCount val="1"/>
                <c:lvl>
                  <c:pt idx="0">
                    <c:v>KUPFERZUSCHLAG/100kg: € 855,62</c:v>
                  </c:pt>
                </c:lvl>
              </c:multiLvlStrCache>
            </c:multiLvlStrRef>
          </c:cat>
          <c:val>
            <c:numRef>
              <c:f>Tabelle1!$B$5:$F$5</c:f>
              <c:numCache>
                <c:ptCount val="5"/>
                <c:pt idx="0">
                  <c:v>45408</c:v>
                </c:pt>
              </c:numCache>
            </c:numRef>
          </c:val>
        </c:ser>
        <c:overlap val="-27"/>
        <c:gapWidth val="219"/>
        <c:axId val="38792969"/>
        <c:axId val="13592402"/>
      </c:barChart>
      <c:catAx>
        <c:axId val="3879296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3592402"/>
        <c:crosses val="autoZero"/>
        <c:auto val="1"/>
        <c:lblOffset val="100"/>
        <c:tickLblSkip val="1"/>
        <c:noMultiLvlLbl val="0"/>
      </c:catAx>
      <c:valAx>
        <c:axId val="1359240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879296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59"/>
          <c:y val="0.9565"/>
          <c:w val="0.082"/>
          <c:h val="0.02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08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008"/>
          <c:y val="0.06025"/>
          <c:w val="0.97575"/>
          <c:h val="0.68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Tabelle1!$A$4:$A$8</c:f>
              <c:strCache>
                <c:ptCount val="1"/>
                <c:pt idx="0">
                  <c:v>Zuschlag: vom: Zuschläge pro 100 Meter für Ye, Ym, Yf, YM, YMl, YMM, XYMM, YSLY, GML, YY-Leitungen: Querschnitt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Tabelle1!$A$9:$A$26</c:f>
              <c:numCache>
                <c:ptCount val="18"/>
                <c:pt idx="0">
                  <c:v>0.5</c:v>
                </c:pt>
                <c:pt idx="1">
                  <c:v>0.75</c:v>
                </c:pt>
                <c:pt idx="2">
                  <c:v>1</c:v>
                </c:pt>
                <c:pt idx="3">
                  <c:v>1.5</c:v>
                </c:pt>
                <c:pt idx="4">
                  <c:v>2.5</c:v>
                </c:pt>
                <c:pt idx="5">
                  <c:v>4</c:v>
                </c:pt>
                <c:pt idx="6">
                  <c:v>6</c:v>
                </c:pt>
                <c:pt idx="7">
                  <c:v>10</c:v>
                </c:pt>
                <c:pt idx="8">
                  <c:v>16</c:v>
                </c:pt>
                <c:pt idx="9">
                  <c:v>25</c:v>
                </c:pt>
                <c:pt idx="10">
                  <c:v>35</c:v>
                </c:pt>
                <c:pt idx="11">
                  <c:v>50</c:v>
                </c:pt>
                <c:pt idx="12">
                  <c:v>70</c:v>
                </c:pt>
                <c:pt idx="13">
                  <c:v>95</c:v>
                </c:pt>
                <c:pt idx="14">
                  <c:v>120</c:v>
                </c:pt>
                <c:pt idx="15">
                  <c:v>150</c:v>
                </c:pt>
                <c:pt idx="16">
                  <c:v>185</c:v>
                </c:pt>
                <c:pt idx="17">
                  <c:v>240</c:v>
                </c:pt>
              </c:numCache>
            </c:numRef>
          </c:val>
        </c:ser>
        <c:ser>
          <c:idx val="1"/>
          <c:order val="1"/>
          <c:tx>
            <c:strRef>
              <c:f>Tabelle1!$B$4:$B$8</c:f>
              <c:strCache>
                <c:ptCount val="1"/>
                <c:pt idx="0">
                  <c:v>€ 900,65 26. Apr 24 1polig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Tabelle1!$B$9:$B$26</c:f>
              <c:numCache>
                <c:ptCount val="18"/>
                <c:pt idx="0">
                  <c:v>4.503263157894737</c:v>
                </c:pt>
                <c:pt idx="1">
                  <c:v>6.754894736842106</c:v>
                </c:pt>
                <c:pt idx="2">
                  <c:v>9.006526315789474</c:v>
                </c:pt>
                <c:pt idx="3">
                  <c:v>13.509789473684211</c:v>
                </c:pt>
                <c:pt idx="4">
                  <c:v>22.516315789473683</c:v>
                </c:pt>
                <c:pt idx="5">
                  <c:v>36.026105263157895</c:v>
                </c:pt>
                <c:pt idx="6">
                  <c:v>54.039157894736846</c:v>
                </c:pt>
                <c:pt idx="7">
                  <c:v>90.06526315789473</c:v>
                </c:pt>
                <c:pt idx="8">
                  <c:v>144.10442105263158</c:v>
                </c:pt>
                <c:pt idx="9">
                  <c:v>225.16315789473686</c:v>
                </c:pt>
                <c:pt idx="10">
                  <c:v>315.2284210526316</c:v>
                </c:pt>
                <c:pt idx="11">
                  <c:v>450.3263157894737</c:v>
                </c:pt>
                <c:pt idx="12">
                  <c:v>630.4568421052631</c:v>
                </c:pt>
                <c:pt idx="13">
                  <c:v>855.62</c:v>
                </c:pt>
                <c:pt idx="14">
                  <c:v>1080.7831578947369</c:v>
                </c:pt>
                <c:pt idx="15">
                  <c:v>1350.9789473684211</c:v>
                </c:pt>
                <c:pt idx="16">
                  <c:v>1666.2073684210527</c:v>
                </c:pt>
                <c:pt idx="17">
                  <c:v>2161.5663157894737</c:v>
                </c:pt>
              </c:numCache>
            </c:numRef>
          </c:val>
        </c:ser>
        <c:ser>
          <c:idx val="2"/>
          <c:order val="2"/>
          <c:tx>
            <c:strRef>
              <c:f>Tabelle1!$C$4:$C$8</c:f>
              <c:strCache>
                <c:ptCount val="1"/>
                <c:pt idx="0">
                  <c:v>pro 100kg SKONTIERBAR 2polig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Tabelle1!$C$9:$C$26</c:f>
              <c:numCache>
                <c:ptCount val="18"/>
                <c:pt idx="0">
                  <c:v>9.006526315789474</c:v>
                </c:pt>
                <c:pt idx="1">
                  <c:v>13.509789473684211</c:v>
                </c:pt>
                <c:pt idx="2">
                  <c:v>18.013052631578947</c:v>
                </c:pt>
                <c:pt idx="3">
                  <c:v>27.019578947368423</c:v>
                </c:pt>
                <c:pt idx="4">
                  <c:v>45.03263157894737</c:v>
                </c:pt>
                <c:pt idx="5">
                  <c:v>72.05221052631579</c:v>
                </c:pt>
                <c:pt idx="6">
                  <c:v>108.07831578947369</c:v>
                </c:pt>
                <c:pt idx="7">
                  <c:v>180.13052631578947</c:v>
                </c:pt>
                <c:pt idx="8">
                  <c:v>288.20884210526316</c:v>
                </c:pt>
              </c:numCache>
            </c:numRef>
          </c:val>
        </c:ser>
        <c:ser>
          <c:idx val="3"/>
          <c:order val="3"/>
          <c:tx>
            <c:strRef>
              <c:f>Tabelle1!$D$4:$D$8</c:f>
              <c:strCache>
                <c:ptCount val="1"/>
                <c:pt idx="0">
                  <c:v>pro 100kg SKONTIERBAR 3polig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Tabelle1!$D$9:$D$26</c:f>
              <c:numCache>
                <c:ptCount val="18"/>
                <c:pt idx="0">
                  <c:v>13.509789473684211</c:v>
                </c:pt>
                <c:pt idx="1">
                  <c:v>20.26468421052632</c:v>
                </c:pt>
                <c:pt idx="2">
                  <c:v>27.019578947368423</c:v>
                </c:pt>
                <c:pt idx="3">
                  <c:v>40.52936842105264</c:v>
                </c:pt>
                <c:pt idx="4">
                  <c:v>67.54894736842105</c:v>
                </c:pt>
                <c:pt idx="5">
                  <c:v>108.07831578947369</c:v>
                </c:pt>
                <c:pt idx="6">
                  <c:v>162.11747368421055</c:v>
                </c:pt>
                <c:pt idx="7">
                  <c:v>270.1957894736842</c:v>
                </c:pt>
                <c:pt idx="8">
                  <c:v>432.31326315789477</c:v>
                </c:pt>
                <c:pt idx="9">
                  <c:v>675.4894736842106</c:v>
                </c:pt>
                <c:pt idx="10">
                  <c:v>945.6852631578947</c:v>
                </c:pt>
                <c:pt idx="11">
                  <c:v>1350.9789473684211</c:v>
                </c:pt>
                <c:pt idx="12">
                  <c:v>1891.3705263157894</c:v>
                </c:pt>
                <c:pt idx="13">
                  <c:v>2566.86</c:v>
                </c:pt>
                <c:pt idx="14">
                  <c:v>3242.3494736842104</c:v>
                </c:pt>
                <c:pt idx="15">
                  <c:v>4052.936842105263</c:v>
                </c:pt>
                <c:pt idx="16">
                  <c:v>4998.622105263158</c:v>
                </c:pt>
                <c:pt idx="17">
                  <c:v>6484.698947368421</c:v>
                </c:pt>
              </c:numCache>
            </c:numRef>
          </c:val>
        </c:ser>
        <c:ser>
          <c:idx val="4"/>
          <c:order val="4"/>
          <c:tx>
            <c:strRef>
              <c:f>Tabelle1!$E$4:$E$8</c:f>
              <c:strCache>
                <c:ptCount val="1"/>
                <c:pt idx="0">
                  <c:v>pro 100kg SKONTIERBAR 4polig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Tabelle1!$E$9:$E$26</c:f>
              <c:numCache>
                <c:ptCount val="18"/>
                <c:pt idx="0">
                  <c:v>18.013052631578947</c:v>
                </c:pt>
                <c:pt idx="1">
                  <c:v>27.019578947368423</c:v>
                </c:pt>
                <c:pt idx="2">
                  <c:v>36.026105263157895</c:v>
                </c:pt>
                <c:pt idx="3">
                  <c:v>54.039157894736846</c:v>
                </c:pt>
                <c:pt idx="4">
                  <c:v>90.06526315789473</c:v>
                </c:pt>
                <c:pt idx="5">
                  <c:v>144.10442105263158</c:v>
                </c:pt>
                <c:pt idx="6">
                  <c:v>216.15663157894738</c:v>
                </c:pt>
                <c:pt idx="7">
                  <c:v>360.26105263157893</c:v>
                </c:pt>
                <c:pt idx="8">
                  <c:v>576.4176842105263</c:v>
                </c:pt>
                <c:pt idx="9">
                  <c:v>900.6526315789474</c:v>
                </c:pt>
                <c:pt idx="10">
                  <c:v>1260.9136842105263</c:v>
                </c:pt>
                <c:pt idx="11">
                  <c:v>1801.3052631578948</c:v>
                </c:pt>
                <c:pt idx="12">
                  <c:v>2521.8273684210526</c:v>
                </c:pt>
                <c:pt idx="13">
                  <c:v>3422.48</c:v>
                </c:pt>
                <c:pt idx="14">
                  <c:v>4323.132631578947</c:v>
                </c:pt>
                <c:pt idx="15">
                  <c:v>5403.9157894736845</c:v>
                </c:pt>
                <c:pt idx="16">
                  <c:v>6664.829473684211</c:v>
                </c:pt>
                <c:pt idx="17">
                  <c:v>8646.265263157895</c:v>
                </c:pt>
              </c:numCache>
            </c:numRef>
          </c:val>
        </c:ser>
        <c:ser>
          <c:idx val="5"/>
          <c:order val="5"/>
          <c:tx>
            <c:strRef>
              <c:f>Tabelle1!$F$4:$F$8</c:f>
              <c:strCache>
                <c:ptCount val="1"/>
                <c:pt idx="0">
                  <c:v>pro 100kg SKONTIERBAR 5polig</c:v>
                </c:pt>
              </c:strCache>
            </c:strRef>
          </c:tx>
          <c:spPr>
            <a:solidFill>
              <a:srgbClr val="70AD4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Tabelle1!$F$9:$F$26</c:f>
              <c:numCache>
                <c:ptCount val="18"/>
                <c:pt idx="0">
                  <c:v>22.516315789473683</c:v>
                </c:pt>
                <c:pt idx="1">
                  <c:v>33.77447368421053</c:v>
                </c:pt>
                <c:pt idx="2">
                  <c:v>45.03263157894737</c:v>
                </c:pt>
                <c:pt idx="3">
                  <c:v>67.54894736842105</c:v>
                </c:pt>
                <c:pt idx="4">
                  <c:v>112.58157894736841</c:v>
                </c:pt>
                <c:pt idx="5">
                  <c:v>180.13052631578947</c:v>
                </c:pt>
                <c:pt idx="6">
                  <c:v>270.1957894736842</c:v>
                </c:pt>
                <c:pt idx="7">
                  <c:v>450.32631578947365</c:v>
                </c:pt>
                <c:pt idx="8">
                  <c:v>720.5221052631579</c:v>
                </c:pt>
                <c:pt idx="9">
                  <c:v>1125.8157894736842</c:v>
                </c:pt>
                <c:pt idx="10">
                  <c:v>1576.1421052631579</c:v>
                </c:pt>
                <c:pt idx="11">
                  <c:v>2251.6315789473683</c:v>
                </c:pt>
                <c:pt idx="12">
                  <c:v>3152.2842105263157</c:v>
                </c:pt>
                <c:pt idx="13">
                  <c:v>4278.1</c:v>
                </c:pt>
                <c:pt idx="14">
                  <c:v>5403.9157894736845</c:v>
                </c:pt>
              </c:numCache>
            </c:numRef>
          </c:val>
        </c:ser>
        <c:ser>
          <c:idx val="6"/>
          <c:order val="6"/>
          <c:tx>
            <c:strRef>
              <c:f>Tabelle1!$G$4:$G$8</c:f>
              <c:strCache>
                <c:ptCount val="1"/>
                <c:pt idx="0">
                  <c:v>pro 100kg SKONTIERBAR 7polig</c:v>
                </c:pt>
              </c:strCache>
            </c:strRef>
          </c:tx>
          <c:spPr>
            <a:solidFill>
              <a:srgbClr val="255E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Tabelle1!$G$9:$G$26</c:f>
              <c:numCache>
                <c:ptCount val="18"/>
                <c:pt idx="0">
                  <c:v>31.52284210526316</c:v>
                </c:pt>
                <c:pt idx="1">
                  <c:v>47.28426315789474</c:v>
                </c:pt>
                <c:pt idx="2">
                  <c:v>63.04568421052632</c:v>
                </c:pt>
                <c:pt idx="3">
                  <c:v>94.56852631578948</c:v>
                </c:pt>
                <c:pt idx="4">
                  <c:v>157.6142105263158</c:v>
                </c:pt>
                <c:pt idx="5">
                  <c:v>252.18273684210527</c:v>
                </c:pt>
                <c:pt idx="6">
                  <c:v>378.27410526315794</c:v>
                </c:pt>
                <c:pt idx="7">
                  <c:v>630.4568421052631</c:v>
                </c:pt>
              </c:numCache>
            </c:numRef>
          </c:val>
        </c:ser>
        <c:overlap val="-27"/>
        <c:gapWidth val="219"/>
        <c:axId val="55222755"/>
        <c:axId val="27242748"/>
      </c:barChart>
      <c:catAx>
        <c:axId val="5522275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7242748"/>
        <c:crosses val="autoZero"/>
        <c:auto val="1"/>
        <c:lblOffset val="100"/>
        <c:tickLblSkip val="1"/>
        <c:noMultiLvlLbl val="0"/>
      </c:catAx>
      <c:valAx>
        <c:axId val="2724274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522275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575"/>
          <c:y val="0.75125"/>
          <c:w val="0.547"/>
          <c:h val="0.23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54"/>
  </sheetViews>
  <pageMargins left="0.7" right="0.7" top="0.787401575" bottom="0.7874015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22"/>
  </sheetViews>
  <pageMargins left="0.7" right="0.7" top="0.787401575" bottom="0.7874015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72600" cy="6057900"/>
    <xdr:graphicFrame>
      <xdr:nvGraphicFramePr>
        <xdr:cNvPr id="1" name="Shape 1025"/>
        <xdr:cNvGraphicFramePr/>
      </xdr:nvGraphicFramePr>
      <xdr:xfrm>
        <a:off x="0" y="0"/>
        <a:ext cx="9372600" cy="605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057900"/>
    <xdr:graphicFrame>
      <xdr:nvGraphicFramePr>
        <xdr:cNvPr id="1" name="Shape 1025"/>
        <xdr:cNvGraphicFramePr/>
      </xdr:nvGraphicFramePr>
      <xdr:xfrm>
        <a:off x="0" y="0"/>
        <a:ext cx="9401175" cy="605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O44"/>
  <sheetViews>
    <sheetView showGridLines="0" tabSelected="1" zoomScalePageLayoutView="0" workbookViewId="0" topLeftCell="A1">
      <selection activeCell="M38" sqref="M38"/>
    </sheetView>
  </sheetViews>
  <sheetFormatPr defaultColWidth="11.421875" defaultRowHeight="12.75"/>
  <cols>
    <col min="1" max="1" width="14.57421875" style="0" customWidth="1"/>
    <col min="8" max="8" width="6.140625" style="0" customWidth="1"/>
    <col min="9" max="9" width="14.57421875" style="0" customWidth="1"/>
  </cols>
  <sheetData>
    <row r="1" spans="1:14" ht="12.75">
      <c r="A1" s="33"/>
      <c r="B1" s="34"/>
      <c r="C1" s="34"/>
      <c r="D1" s="34"/>
      <c r="E1" s="34"/>
      <c r="F1" s="34"/>
      <c r="G1" s="35"/>
      <c r="I1" s="50"/>
      <c r="J1" s="51"/>
      <c r="K1" s="51"/>
      <c r="L1" s="51"/>
      <c r="M1" s="51"/>
      <c r="N1" s="52"/>
    </row>
    <row r="2" spans="1:14" ht="19.5">
      <c r="A2" s="36"/>
      <c r="B2" s="78">
        <v>855.62</v>
      </c>
      <c r="C2" s="79"/>
      <c r="D2" s="79"/>
      <c r="E2" s="79"/>
      <c r="F2" s="79"/>
      <c r="G2" s="37"/>
      <c r="H2" s="3"/>
      <c r="I2" s="69">
        <v>309.67</v>
      </c>
      <c r="J2" s="70"/>
      <c r="K2" s="70"/>
      <c r="L2" s="70"/>
      <c r="M2" s="70"/>
      <c r="N2" s="71"/>
    </row>
    <row r="3" spans="1:14" ht="12.75">
      <c r="A3" s="38"/>
      <c r="B3" s="39"/>
      <c r="C3" s="39"/>
      <c r="D3" s="39"/>
      <c r="E3" s="39"/>
      <c r="F3" s="39"/>
      <c r="G3" s="40"/>
      <c r="I3" s="53"/>
      <c r="J3" s="54"/>
      <c r="K3" s="54"/>
      <c r="L3" s="54"/>
      <c r="M3" s="54"/>
      <c r="N3" s="55"/>
    </row>
    <row r="4" spans="1:14" ht="12.75">
      <c r="A4" s="41" t="s">
        <v>0</v>
      </c>
      <c r="B4" s="42">
        <f>B2/95*100</f>
        <v>900.6526315789474</v>
      </c>
      <c r="C4" s="43" t="s">
        <v>18</v>
      </c>
      <c r="D4" s="44"/>
      <c r="E4" s="39"/>
      <c r="F4" s="39"/>
      <c r="G4" s="40"/>
      <c r="I4" s="56" t="s">
        <v>0</v>
      </c>
      <c r="J4" s="57">
        <f>I2/95*100</f>
        <v>325.9684210526316</v>
      </c>
      <c r="K4" s="58" t="s">
        <v>18</v>
      </c>
      <c r="L4" s="59"/>
      <c r="M4" s="54"/>
      <c r="N4" s="55"/>
    </row>
    <row r="5" spans="1:14" ht="12.75">
      <c r="A5" s="45" t="s">
        <v>8</v>
      </c>
      <c r="B5" s="46">
        <v>45408</v>
      </c>
      <c r="C5" s="39"/>
      <c r="D5" s="39"/>
      <c r="E5" s="39"/>
      <c r="F5" s="39"/>
      <c r="G5" s="40"/>
      <c r="I5" s="60" t="s">
        <v>8</v>
      </c>
      <c r="J5" s="61">
        <f>B5</f>
        <v>45408</v>
      </c>
      <c r="K5" s="62"/>
      <c r="L5" s="62"/>
      <c r="M5" s="54"/>
      <c r="N5" s="55"/>
    </row>
    <row r="6" spans="1:14" ht="12.75">
      <c r="A6" s="38"/>
      <c r="B6" s="39"/>
      <c r="C6" s="39"/>
      <c r="D6" s="39"/>
      <c r="E6" s="39"/>
      <c r="F6" s="39"/>
      <c r="G6" s="40"/>
      <c r="I6" s="53"/>
      <c r="J6" s="54"/>
      <c r="K6" s="54"/>
      <c r="L6" s="54"/>
      <c r="M6" s="54"/>
      <c r="N6" s="55"/>
    </row>
    <row r="7" spans="1:14" ht="12.75">
      <c r="A7" s="72" t="s">
        <v>17</v>
      </c>
      <c r="B7" s="73"/>
      <c r="C7" s="73"/>
      <c r="D7" s="73"/>
      <c r="E7" s="73"/>
      <c r="F7" s="73"/>
      <c r="G7" s="74"/>
      <c r="I7" s="75" t="s">
        <v>22</v>
      </c>
      <c r="J7" s="76"/>
      <c r="K7" s="76"/>
      <c r="L7" s="76"/>
      <c r="M7" s="76"/>
      <c r="N7" s="77"/>
    </row>
    <row r="8" spans="1:14" ht="12.75">
      <c r="A8" s="10" t="s">
        <v>6</v>
      </c>
      <c r="B8" s="11" t="s">
        <v>1</v>
      </c>
      <c r="C8" s="11" t="s">
        <v>2</v>
      </c>
      <c r="D8" s="11" t="s">
        <v>3</v>
      </c>
      <c r="E8" s="11" t="s">
        <v>4</v>
      </c>
      <c r="F8" s="11" t="s">
        <v>5</v>
      </c>
      <c r="G8" s="11" t="s">
        <v>7</v>
      </c>
      <c r="H8" s="1"/>
      <c r="I8" s="25" t="s">
        <v>6</v>
      </c>
      <c r="J8" s="26" t="s">
        <v>1</v>
      </c>
      <c r="K8" s="26" t="s">
        <v>2</v>
      </c>
      <c r="L8" s="26" t="s">
        <v>3</v>
      </c>
      <c r="M8" s="26" t="s">
        <v>4</v>
      </c>
      <c r="N8" s="26" t="s">
        <v>5</v>
      </c>
    </row>
    <row r="9" spans="1:14" ht="12.75">
      <c r="A9" s="12">
        <v>0.5</v>
      </c>
      <c r="B9" s="13">
        <f>SUM($B$4/100)*A9</f>
        <v>4.503263157894737</v>
      </c>
      <c r="C9" s="13">
        <f>SUM(B9*2)</f>
        <v>9.006526315789474</v>
      </c>
      <c r="D9" s="13">
        <f>SUM(B9*3)</f>
        <v>13.509789473684211</v>
      </c>
      <c r="E9" s="13">
        <f>SUM(B9*4)</f>
        <v>18.013052631578947</v>
      </c>
      <c r="F9" s="13">
        <f>SUM(B9*5)</f>
        <v>22.516315789473683</v>
      </c>
      <c r="G9" s="13">
        <f>SUM(B9*7)</f>
        <v>31.52284210526316</v>
      </c>
      <c r="H9" s="2"/>
      <c r="I9" s="27">
        <v>16</v>
      </c>
      <c r="J9" s="28">
        <f>SUM($J$4/100)*4.9</f>
        <v>15.97245263157895</v>
      </c>
      <c r="K9" s="28"/>
      <c r="L9" s="28"/>
      <c r="M9" s="28"/>
      <c r="N9" s="28">
        <f>SUM(J9*5)</f>
        <v>79.86226315789474</v>
      </c>
    </row>
    <row r="10" spans="1:14" ht="12.75">
      <c r="A10" s="12">
        <v>0.75</v>
      </c>
      <c r="B10" s="13">
        <f aca="true" t="shared" si="0" ref="B10:B26">SUM($B$4/100)*A10</f>
        <v>6.754894736842106</v>
      </c>
      <c r="C10" s="13">
        <f aca="true" t="shared" si="1" ref="C10:C17">SUM(B10*2)</f>
        <v>13.509789473684211</v>
      </c>
      <c r="D10" s="13">
        <f aca="true" t="shared" si="2" ref="D10:D26">SUM(B10*3)</f>
        <v>20.26468421052632</v>
      </c>
      <c r="E10" s="13">
        <f aca="true" t="shared" si="3" ref="E10:E26">SUM(B10*4)</f>
        <v>27.019578947368423</v>
      </c>
      <c r="F10" s="13">
        <f aca="true" t="shared" si="4" ref="F10:F23">SUM(B10*5)</f>
        <v>33.77447368421053</v>
      </c>
      <c r="G10" s="13">
        <f aca="true" t="shared" si="5" ref="G10:G16">SUM(B10*7)</f>
        <v>47.28426315789474</v>
      </c>
      <c r="H10" s="2"/>
      <c r="I10" s="27">
        <v>25</v>
      </c>
      <c r="J10" s="28">
        <f>SUM($J$4/100)*7.4</f>
        <v>24.12166315789474</v>
      </c>
      <c r="K10" s="28">
        <f>SUM(J10*2)</f>
        <v>48.24332631578948</v>
      </c>
      <c r="L10" s="28"/>
      <c r="M10" s="28">
        <f aca="true" t="shared" si="6" ref="M10:M18">SUM(J10*4)</f>
        <v>96.48665263157896</v>
      </c>
      <c r="N10" s="28">
        <f aca="true" t="shared" si="7" ref="N10:N18">SUM(J10*5)</f>
        <v>120.6083157894737</v>
      </c>
    </row>
    <row r="11" spans="1:14" ht="12.75">
      <c r="A11" s="12">
        <v>1</v>
      </c>
      <c r="B11" s="13">
        <f t="shared" si="0"/>
        <v>9.006526315789474</v>
      </c>
      <c r="C11" s="13">
        <f t="shared" si="1"/>
        <v>18.013052631578947</v>
      </c>
      <c r="D11" s="13">
        <f t="shared" si="2"/>
        <v>27.019578947368423</v>
      </c>
      <c r="E11" s="13">
        <f t="shared" si="3"/>
        <v>36.026105263157895</v>
      </c>
      <c r="F11" s="13">
        <f t="shared" si="4"/>
        <v>45.03263157894737</v>
      </c>
      <c r="G11" s="13">
        <f t="shared" si="5"/>
        <v>63.04568421052632</v>
      </c>
      <c r="H11" s="2"/>
      <c r="I11" s="27">
        <v>35</v>
      </c>
      <c r="J11" s="28">
        <f>SUM($J$4/100)*10.3</f>
        <v>33.57474736842106</v>
      </c>
      <c r="K11" s="28"/>
      <c r="L11" s="28"/>
      <c r="M11" s="28">
        <f t="shared" si="6"/>
        <v>134.29898947368423</v>
      </c>
      <c r="N11" s="28">
        <f t="shared" si="7"/>
        <v>167.8737368421053</v>
      </c>
    </row>
    <row r="12" spans="1:14" ht="12.75">
      <c r="A12" s="12">
        <v>1.5</v>
      </c>
      <c r="B12" s="13">
        <f t="shared" si="0"/>
        <v>13.509789473684211</v>
      </c>
      <c r="C12" s="13">
        <f t="shared" si="1"/>
        <v>27.019578947368423</v>
      </c>
      <c r="D12" s="13">
        <f t="shared" si="2"/>
        <v>40.52936842105264</v>
      </c>
      <c r="E12" s="13">
        <f t="shared" si="3"/>
        <v>54.039157894736846</v>
      </c>
      <c r="F12" s="13">
        <f t="shared" si="4"/>
        <v>67.54894736842105</v>
      </c>
      <c r="G12" s="13">
        <f t="shared" si="5"/>
        <v>94.56852631578948</v>
      </c>
      <c r="H12" s="2"/>
      <c r="I12" s="27">
        <v>50</v>
      </c>
      <c r="J12" s="28">
        <f>SUM($J$4/100)*14.7</f>
        <v>47.917357894736845</v>
      </c>
      <c r="K12" s="28"/>
      <c r="L12" s="28"/>
      <c r="M12" s="28">
        <f t="shared" si="6"/>
        <v>191.66943157894738</v>
      </c>
      <c r="N12" s="28">
        <f t="shared" si="7"/>
        <v>239.58678947368423</v>
      </c>
    </row>
    <row r="13" spans="1:14" ht="12.75">
      <c r="A13" s="12">
        <v>2.5</v>
      </c>
      <c r="B13" s="13">
        <f t="shared" si="0"/>
        <v>22.516315789473683</v>
      </c>
      <c r="C13" s="13">
        <f t="shared" si="1"/>
        <v>45.03263157894737</v>
      </c>
      <c r="D13" s="13">
        <f t="shared" si="2"/>
        <v>67.54894736842105</v>
      </c>
      <c r="E13" s="13">
        <f t="shared" si="3"/>
        <v>90.06526315789473</v>
      </c>
      <c r="F13" s="13">
        <f t="shared" si="4"/>
        <v>112.58157894736841</v>
      </c>
      <c r="G13" s="13">
        <f t="shared" si="5"/>
        <v>157.6142105263158</v>
      </c>
      <c r="H13" s="2"/>
      <c r="I13" s="27">
        <v>70</v>
      </c>
      <c r="J13" s="28">
        <f>SUM($J$4/100)*20.6</f>
        <v>67.14949473684212</v>
      </c>
      <c r="K13" s="28"/>
      <c r="L13" s="28"/>
      <c r="M13" s="28">
        <f t="shared" si="6"/>
        <v>268.59797894736846</v>
      </c>
      <c r="N13" s="28">
        <f t="shared" si="7"/>
        <v>335.7474736842106</v>
      </c>
    </row>
    <row r="14" spans="1:14" ht="12.75">
      <c r="A14" s="12">
        <v>4</v>
      </c>
      <c r="B14" s="13">
        <f t="shared" si="0"/>
        <v>36.026105263157895</v>
      </c>
      <c r="C14" s="13">
        <f t="shared" si="1"/>
        <v>72.05221052631579</v>
      </c>
      <c r="D14" s="13">
        <f t="shared" si="2"/>
        <v>108.07831578947369</v>
      </c>
      <c r="E14" s="13">
        <f t="shared" si="3"/>
        <v>144.10442105263158</v>
      </c>
      <c r="F14" s="13">
        <f t="shared" si="4"/>
        <v>180.13052631578947</v>
      </c>
      <c r="G14" s="13">
        <f t="shared" si="5"/>
        <v>252.18273684210527</v>
      </c>
      <c r="H14" s="2"/>
      <c r="I14" s="27">
        <v>95</v>
      </c>
      <c r="J14" s="28">
        <f>SUM($J$4/100)*27.9</f>
        <v>90.94518947368421</v>
      </c>
      <c r="K14" s="28"/>
      <c r="L14" s="28"/>
      <c r="M14" s="28">
        <f t="shared" si="6"/>
        <v>363.78075789473684</v>
      </c>
      <c r="N14" s="28">
        <f t="shared" si="7"/>
        <v>454.72594736842103</v>
      </c>
    </row>
    <row r="15" spans="1:14" ht="12.75">
      <c r="A15" s="12">
        <v>6</v>
      </c>
      <c r="B15" s="13">
        <f t="shared" si="0"/>
        <v>54.039157894736846</v>
      </c>
      <c r="C15" s="13">
        <f t="shared" si="1"/>
        <v>108.07831578947369</v>
      </c>
      <c r="D15" s="13">
        <f t="shared" si="2"/>
        <v>162.11747368421055</v>
      </c>
      <c r="E15" s="13">
        <f t="shared" si="3"/>
        <v>216.15663157894738</v>
      </c>
      <c r="F15" s="13">
        <f t="shared" si="4"/>
        <v>270.1957894736842</v>
      </c>
      <c r="G15" s="13">
        <f t="shared" si="5"/>
        <v>378.27410526315794</v>
      </c>
      <c r="H15" s="2"/>
      <c r="I15" s="27">
        <v>120</v>
      </c>
      <c r="J15" s="28">
        <f>SUM($J$4/100)*35.3</f>
        <v>115.06685263157894</v>
      </c>
      <c r="K15" s="28"/>
      <c r="L15" s="28"/>
      <c r="M15" s="28">
        <f t="shared" si="6"/>
        <v>460.26741052631576</v>
      </c>
      <c r="N15" s="28">
        <f t="shared" si="7"/>
        <v>575.3342631578947</v>
      </c>
    </row>
    <row r="16" spans="1:14" ht="12.75">
      <c r="A16" s="12">
        <v>10</v>
      </c>
      <c r="B16" s="13">
        <f t="shared" si="0"/>
        <v>90.06526315789473</v>
      </c>
      <c r="C16" s="13">
        <f t="shared" si="1"/>
        <v>180.13052631578947</v>
      </c>
      <c r="D16" s="13">
        <f t="shared" si="2"/>
        <v>270.1957894736842</v>
      </c>
      <c r="E16" s="13">
        <f t="shared" si="3"/>
        <v>360.26105263157893</v>
      </c>
      <c r="F16" s="13">
        <f t="shared" si="4"/>
        <v>450.32631578947365</v>
      </c>
      <c r="G16" s="13">
        <f t="shared" si="5"/>
        <v>630.4568421052631</v>
      </c>
      <c r="H16" s="2"/>
      <c r="I16" s="27">
        <v>150</v>
      </c>
      <c r="J16" s="28">
        <f>SUM($J$4/100)*44.1</f>
        <v>143.75207368421053</v>
      </c>
      <c r="K16" s="28"/>
      <c r="L16" s="28"/>
      <c r="M16" s="28">
        <f t="shared" si="6"/>
        <v>575.0082947368421</v>
      </c>
      <c r="N16" s="28">
        <f t="shared" si="7"/>
        <v>718.7603684210526</v>
      </c>
    </row>
    <row r="17" spans="1:14" ht="12.75">
      <c r="A17" s="12">
        <v>16</v>
      </c>
      <c r="B17" s="13">
        <f t="shared" si="0"/>
        <v>144.10442105263158</v>
      </c>
      <c r="C17" s="13">
        <f t="shared" si="1"/>
        <v>288.20884210526316</v>
      </c>
      <c r="D17" s="13">
        <f t="shared" si="2"/>
        <v>432.31326315789477</v>
      </c>
      <c r="E17" s="13">
        <f t="shared" si="3"/>
        <v>576.4176842105263</v>
      </c>
      <c r="F17" s="13">
        <f t="shared" si="4"/>
        <v>720.5221052631579</v>
      </c>
      <c r="G17" s="14"/>
      <c r="H17" s="2"/>
      <c r="I17" s="27">
        <v>185</v>
      </c>
      <c r="J17" s="28">
        <f>SUM($J$4/100)*54.4</f>
        <v>177.32682105263157</v>
      </c>
      <c r="K17" s="28"/>
      <c r="L17" s="28"/>
      <c r="M17" s="28">
        <f t="shared" si="6"/>
        <v>709.3072842105263</v>
      </c>
      <c r="N17" s="28">
        <f t="shared" si="7"/>
        <v>886.6341052631578</v>
      </c>
    </row>
    <row r="18" spans="1:14" ht="12.75">
      <c r="A18" s="12">
        <v>25</v>
      </c>
      <c r="B18" s="13">
        <f t="shared" si="0"/>
        <v>225.16315789473686</v>
      </c>
      <c r="C18" s="15"/>
      <c r="D18" s="13">
        <f t="shared" si="2"/>
        <v>675.4894736842106</v>
      </c>
      <c r="E18" s="13">
        <f t="shared" si="3"/>
        <v>900.6526315789474</v>
      </c>
      <c r="F18" s="13">
        <f t="shared" si="4"/>
        <v>1125.8157894736842</v>
      </c>
      <c r="G18" s="14"/>
      <c r="I18" s="27">
        <v>240</v>
      </c>
      <c r="J18" s="28">
        <f>SUM($J$4/100)*70.6</f>
        <v>230.13370526315788</v>
      </c>
      <c r="K18" s="29"/>
      <c r="L18" s="28"/>
      <c r="M18" s="28">
        <f t="shared" si="6"/>
        <v>920.5348210526315</v>
      </c>
      <c r="N18" s="28">
        <f t="shared" si="7"/>
        <v>1150.6685263157894</v>
      </c>
    </row>
    <row r="19" spans="1:14" ht="12.75">
      <c r="A19" s="12">
        <v>35</v>
      </c>
      <c r="B19" s="13">
        <f t="shared" si="0"/>
        <v>315.2284210526316</v>
      </c>
      <c r="C19" s="15"/>
      <c r="D19" s="13">
        <f t="shared" si="2"/>
        <v>945.6852631578947</v>
      </c>
      <c r="E19" s="13">
        <f t="shared" si="3"/>
        <v>1260.9136842105263</v>
      </c>
      <c r="F19" s="13">
        <f t="shared" si="4"/>
        <v>1576.1421052631579</v>
      </c>
      <c r="G19" s="14"/>
      <c r="I19" s="30" t="s">
        <v>23</v>
      </c>
      <c r="J19" s="28"/>
      <c r="K19" s="29"/>
      <c r="L19" s="28"/>
      <c r="M19" s="28">
        <f>SUM(J18*3+J15)</f>
        <v>805.4679684210525</v>
      </c>
      <c r="N19" s="28"/>
    </row>
    <row r="20" spans="1:14" ht="12.75">
      <c r="A20" s="12">
        <v>50</v>
      </c>
      <c r="B20" s="13">
        <f t="shared" si="0"/>
        <v>450.3263157894737</v>
      </c>
      <c r="C20" s="15"/>
      <c r="D20" s="13">
        <f t="shared" si="2"/>
        <v>1350.9789473684211</v>
      </c>
      <c r="E20" s="13">
        <f t="shared" si="3"/>
        <v>1801.3052631578948</v>
      </c>
      <c r="F20" s="13">
        <f t="shared" si="4"/>
        <v>2251.6315789473683</v>
      </c>
      <c r="G20" s="14"/>
      <c r="I20" s="4"/>
      <c r="J20" s="31"/>
      <c r="K20" s="32"/>
      <c r="L20" s="31"/>
      <c r="M20" s="31"/>
      <c r="N20" s="31"/>
    </row>
    <row r="21" spans="1:14" ht="12.75">
      <c r="A21" s="12">
        <v>70</v>
      </c>
      <c r="B21" s="13">
        <f t="shared" si="0"/>
        <v>630.4568421052631</v>
      </c>
      <c r="C21" s="15"/>
      <c r="D21" s="13">
        <f t="shared" si="2"/>
        <v>1891.3705263157894</v>
      </c>
      <c r="E21" s="13">
        <f t="shared" si="3"/>
        <v>2521.8273684210526</v>
      </c>
      <c r="F21" s="13">
        <f t="shared" si="4"/>
        <v>3152.2842105263157</v>
      </c>
      <c r="G21" s="14"/>
      <c r="I21" s="7"/>
      <c r="J21" s="5"/>
      <c r="K21" s="6"/>
      <c r="L21" s="5"/>
      <c r="M21" s="5"/>
      <c r="N21" s="5"/>
    </row>
    <row r="22" spans="1:15" ht="12.75">
      <c r="A22" s="12">
        <v>95</v>
      </c>
      <c r="B22" s="13">
        <f t="shared" si="0"/>
        <v>855.62</v>
      </c>
      <c r="C22" s="15"/>
      <c r="D22" s="13">
        <f t="shared" si="2"/>
        <v>2566.86</v>
      </c>
      <c r="E22" s="13">
        <f t="shared" si="3"/>
        <v>3422.48</v>
      </c>
      <c r="F22" s="13">
        <f t="shared" si="4"/>
        <v>4278.1</v>
      </c>
      <c r="G22" s="14"/>
      <c r="I22" s="81" t="s">
        <v>24</v>
      </c>
      <c r="J22" s="82"/>
      <c r="K22" s="82"/>
      <c r="L22" s="82"/>
      <c r="M22" s="82"/>
      <c r="N22" s="83"/>
      <c r="O22" s="9"/>
    </row>
    <row r="23" spans="1:15" ht="12.75">
      <c r="A23" s="12">
        <v>120</v>
      </c>
      <c r="B23" s="13">
        <f t="shared" si="0"/>
        <v>1080.7831578947369</v>
      </c>
      <c r="C23" s="15"/>
      <c r="D23" s="13">
        <f t="shared" si="2"/>
        <v>3242.3494736842104</v>
      </c>
      <c r="E23" s="13">
        <f t="shared" si="3"/>
        <v>4323.132631578947</v>
      </c>
      <c r="F23" s="13">
        <f t="shared" si="4"/>
        <v>5403.9157894736845</v>
      </c>
      <c r="G23" s="14"/>
      <c r="I23" s="63" t="s">
        <v>14</v>
      </c>
      <c r="J23" s="64"/>
      <c r="K23" s="64"/>
      <c r="L23" s="64"/>
      <c r="M23" s="64"/>
      <c r="N23" s="65"/>
      <c r="O23" s="9"/>
    </row>
    <row r="24" spans="1:15" ht="12.75">
      <c r="A24" s="12">
        <v>150</v>
      </c>
      <c r="B24" s="13">
        <f t="shared" si="0"/>
        <v>1350.9789473684211</v>
      </c>
      <c r="C24" s="15"/>
      <c r="D24" s="13">
        <f t="shared" si="2"/>
        <v>4052.936842105263</v>
      </c>
      <c r="E24" s="13">
        <f t="shared" si="3"/>
        <v>5403.9157894736845</v>
      </c>
      <c r="F24" s="15"/>
      <c r="G24" s="14"/>
      <c r="I24" s="66" t="s">
        <v>25</v>
      </c>
      <c r="J24" s="67"/>
      <c r="K24" s="67"/>
      <c r="L24" s="67"/>
      <c r="M24" s="67"/>
      <c r="N24" s="68"/>
      <c r="O24" s="9"/>
    </row>
    <row r="25" spans="1:14" ht="12.75">
      <c r="A25" s="12">
        <v>185</v>
      </c>
      <c r="B25" s="13">
        <f t="shared" si="0"/>
        <v>1666.2073684210527</v>
      </c>
      <c r="C25" s="15"/>
      <c r="D25" s="13">
        <f t="shared" si="2"/>
        <v>4998.622105263158</v>
      </c>
      <c r="E25" s="13">
        <f t="shared" si="3"/>
        <v>6664.829473684211</v>
      </c>
      <c r="F25" s="15"/>
      <c r="G25" s="14"/>
      <c r="I25" s="80"/>
      <c r="J25" s="80"/>
      <c r="K25" s="80"/>
      <c r="L25" s="80"/>
      <c r="M25" s="80"/>
      <c r="N25" s="80"/>
    </row>
    <row r="26" spans="1:14" ht="12.75">
      <c r="A26" s="12">
        <v>240</v>
      </c>
      <c r="B26" s="13">
        <f t="shared" si="0"/>
        <v>2161.5663157894737</v>
      </c>
      <c r="C26" s="15"/>
      <c r="D26" s="13">
        <f t="shared" si="2"/>
        <v>6484.698947368421</v>
      </c>
      <c r="E26" s="13">
        <f t="shared" si="3"/>
        <v>8646.265263157895</v>
      </c>
      <c r="F26" s="15"/>
      <c r="G26" s="14"/>
      <c r="I26" s="4"/>
      <c r="J26" s="5"/>
      <c r="K26" s="6"/>
      <c r="L26" s="5"/>
      <c r="M26" s="5"/>
      <c r="N26" s="6"/>
    </row>
    <row r="27" spans="1:7" ht="12.75">
      <c r="A27" s="47"/>
      <c r="B27" s="16"/>
      <c r="C27" s="17"/>
      <c r="D27" s="16"/>
      <c r="E27" s="16"/>
      <c r="F27" s="17"/>
      <c r="G27" s="48"/>
    </row>
    <row r="28" spans="1:7" ht="12.75">
      <c r="A28" s="72" t="s">
        <v>16</v>
      </c>
      <c r="B28" s="73"/>
      <c r="C28" s="73"/>
      <c r="D28" s="73"/>
      <c r="E28" s="73"/>
      <c r="F28" s="73"/>
      <c r="G28" s="74"/>
    </row>
    <row r="29" spans="1:7" ht="12.75">
      <c r="A29" s="10" t="s">
        <v>6</v>
      </c>
      <c r="B29" s="11" t="s">
        <v>2</v>
      </c>
      <c r="C29" s="11" t="s">
        <v>3</v>
      </c>
      <c r="D29" s="11" t="s">
        <v>4</v>
      </c>
      <c r="E29" s="11" t="s">
        <v>5</v>
      </c>
      <c r="F29" s="11" t="s">
        <v>7</v>
      </c>
      <c r="G29" s="11" t="s">
        <v>12</v>
      </c>
    </row>
    <row r="30" spans="1:7" ht="12.75">
      <c r="A30" s="12">
        <v>0.5</v>
      </c>
      <c r="B30" s="13">
        <f>SUM($B$4/100)*3.6</f>
        <v>32.42349473684211</v>
      </c>
      <c r="C30" s="13">
        <f>SUM($B$4/100)*4.3</f>
        <v>38.72806315789474</v>
      </c>
      <c r="D30" s="13">
        <f>SUM($B$4/100)*4.9</f>
        <v>44.131978947368424</v>
      </c>
      <c r="E30" s="13">
        <f>SUM($B$4/100)*5.7</f>
        <v>51.3372</v>
      </c>
      <c r="F30" s="13"/>
      <c r="G30" s="13"/>
    </row>
    <row r="31" spans="1:7" ht="12.75">
      <c r="A31" s="12">
        <v>0.75</v>
      </c>
      <c r="B31" s="13">
        <f>SUM($B$4/100)*4.3</f>
        <v>38.72806315789474</v>
      </c>
      <c r="C31" s="13">
        <f>SUM($B$4/100)*5.2</f>
        <v>46.83393684210527</v>
      </c>
      <c r="D31" s="13">
        <f>SUM($B$4/100)*6.1</f>
        <v>54.93981052631579</v>
      </c>
      <c r="E31" s="13">
        <f>SUM($B$4/100)*7.2</f>
        <v>64.84698947368422</v>
      </c>
      <c r="F31" s="13">
        <f>SUM($B$4/100)*8.9</f>
        <v>80.15808421052633</v>
      </c>
      <c r="G31" s="13">
        <f>SUM($B$4/100)*13.8</f>
        <v>124.29006315789475</v>
      </c>
    </row>
    <row r="32" spans="1:7" ht="12.75">
      <c r="A32" s="12">
        <v>1</v>
      </c>
      <c r="B32" s="13">
        <f>SUM($B$4/100)*5.1</f>
        <v>45.93328421052631</v>
      </c>
      <c r="C32" s="13">
        <f>SUM($B$4/100)*6.2</f>
        <v>55.84046315789474</v>
      </c>
      <c r="D32" s="13">
        <f>SUM($B$4/100)*7.4</f>
        <v>66.6482947368421</v>
      </c>
      <c r="E32" s="13">
        <f>SUM($B$4/100)*8.8</f>
        <v>79.25743157894738</v>
      </c>
      <c r="F32" s="13">
        <f>SUM($B$4/100)*11.2</f>
        <v>100.8730947368421</v>
      </c>
      <c r="G32" s="13">
        <f>SUM($B$4/100)*18.5</f>
        <v>166.62073684210526</v>
      </c>
    </row>
    <row r="33" spans="1:7" ht="12.75">
      <c r="A33" s="12">
        <v>1.5</v>
      </c>
      <c r="B33" s="13">
        <f>SUM($B$4/100)*6.5</f>
        <v>58.54242105263158</v>
      </c>
      <c r="C33" s="13">
        <f>SUM($B$4/100)*8.2</f>
        <v>73.85351578947368</v>
      </c>
      <c r="D33" s="13">
        <f>SUM($B$4/100)*10</f>
        <v>90.06526315789473</v>
      </c>
      <c r="E33" s="13">
        <f>SUM($B$4/100)*11.9</f>
        <v>107.17766315789474</v>
      </c>
      <c r="F33" s="13">
        <f>SUM($B$4/100)*15.4</f>
        <v>138.7005052631579</v>
      </c>
      <c r="G33" s="13">
        <f>SUM($B$4/100)*26.8</f>
        <v>241.3749052631579</v>
      </c>
    </row>
    <row r="34" spans="1:7" ht="12.75">
      <c r="A34" s="12">
        <v>2.5</v>
      </c>
      <c r="B34" s="13">
        <f>SUM($B$4/100)*9.2</f>
        <v>82.86004210526315</v>
      </c>
      <c r="C34" s="13">
        <f>SUM($B$4/100)*11.8</f>
        <v>106.27701052631579</v>
      </c>
      <c r="D34" s="13">
        <f>SUM($B$4/100)*14.7</f>
        <v>132.39593684210524</v>
      </c>
      <c r="E34" s="13">
        <f>SUM($B$4/100)*17.6</f>
        <v>158.51486315789475</v>
      </c>
      <c r="F34" s="13">
        <f>SUM($B$4/100)*25.3</f>
        <v>227.8651157894737</v>
      </c>
      <c r="G34" s="13">
        <f>SUM($B$4/100)*40.8</f>
        <v>367.4662736842105</v>
      </c>
    </row>
    <row r="35" spans="1:7" ht="12.75">
      <c r="A35" s="47"/>
      <c r="B35" s="16"/>
      <c r="C35" s="17"/>
      <c r="D35" s="16"/>
      <c r="E35" s="16"/>
      <c r="F35" s="17"/>
      <c r="G35" s="48"/>
    </row>
    <row r="36" spans="1:7" ht="12.75">
      <c r="A36" s="72" t="s">
        <v>15</v>
      </c>
      <c r="B36" s="73"/>
      <c r="C36" s="73"/>
      <c r="D36" s="73"/>
      <c r="E36" s="73"/>
      <c r="F36" s="73"/>
      <c r="G36" s="74"/>
    </row>
    <row r="37" spans="1:7" ht="12.75">
      <c r="A37" s="10" t="s">
        <v>9</v>
      </c>
      <c r="B37" s="11" t="s">
        <v>2</v>
      </c>
      <c r="C37" s="11" t="s">
        <v>4</v>
      </c>
      <c r="D37" s="11" t="s">
        <v>10</v>
      </c>
      <c r="E37" s="11" t="s">
        <v>11</v>
      </c>
      <c r="F37" s="11" t="s">
        <v>12</v>
      </c>
      <c r="G37" s="11" t="s">
        <v>13</v>
      </c>
    </row>
    <row r="38" spans="1:7" ht="12.75">
      <c r="A38" s="12">
        <v>0.6</v>
      </c>
      <c r="B38" s="13">
        <f>SUM($B$4/100)*0.7</f>
        <v>6.304568421052632</v>
      </c>
      <c r="C38" s="13">
        <f>SUM($B$4/100)*1.3</f>
        <v>11.708484210526317</v>
      </c>
      <c r="D38" s="13">
        <f>SUM($B$4/100)*1.9</f>
        <v>17.1124</v>
      </c>
      <c r="E38" s="13">
        <f>SUM($B$4/100)*3</f>
        <v>27.019578947368423</v>
      </c>
      <c r="F38" s="13">
        <f>SUM($B$4/100)*3.6</f>
        <v>32.42349473684211</v>
      </c>
      <c r="G38" s="13">
        <f>SUM($B$4/100)*5.9</f>
        <v>53.138505263157896</v>
      </c>
    </row>
    <row r="39" spans="1:7" ht="12.75">
      <c r="A39" s="12">
        <v>0.8</v>
      </c>
      <c r="B39" s="13">
        <f>SUM($B$4/100)*1.1</f>
        <v>9.907178947368422</v>
      </c>
      <c r="C39" s="13">
        <f>SUM($B$4/100)*2.1</f>
        <v>18.913705263157894</v>
      </c>
      <c r="D39" s="13">
        <f>SUM($B$4/100)*3.2</f>
        <v>28.820884210526316</v>
      </c>
      <c r="E39" s="13">
        <f>SUM($B$4/100)*5.2</f>
        <v>46.83393684210527</v>
      </c>
      <c r="F39" s="13">
        <f>SUM($B$4/100)*6.2</f>
        <v>55.84046315789474</v>
      </c>
      <c r="G39" s="13">
        <f>SUM($B$4/100)*10.3</f>
        <v>92.76722105263158</v>
      </c>
    </row>
    <row r="40" spans="1:7" ht="12.75">
      <c r="A40" s="47"/>
      <c r="B40" s="16"/>
      <c r="C40" s="16"/>
      <c r="D40" s="16"/>
      <c r="E40" s="16"/>
      <c r="F40" s="16"/>
      <c r="G40" s="49"/>
    </row>
    <row r="41" spans="1:7" ht="12.75">
      <c r="A41" s="72" t="s">
        <v>19</v>
      </c>
      <c r="B41" s="73"/>
      <c r="C41" s="73"/>
      <c r="D41" s="73"/>
      <c r="E41" s="73"/>
      <c r="F41" s="73"/>
      <c r="G41" s="74"/>
    </row>
    <row r="42" spans="1:7" ht="12.75">
      <c r="A42" s="18" t="s">
        <v>20</v>
      </c>
      <c r="B42" s="13">
        <f>SUM($B$4/100)*3.9</f>
        <v>35.125452631578945</v>
      </c>
      <c r="C42" s="19"/>
      <c r="D42" s="20"/>
      <c r="E42" s="20"/>
      <c r="F42" s="20"/>
      <c r="G42" s="21"/>
    </row>
    <row r="43" spans="1:7" ht="12.75">
      <c r="A43" s="18" t="s">
        <v>21</v>
      </c>
      <c r="B43" s="13">
        <f>SUM($B$4/100)*4.4</f>
        <v>39.62871578947369</v>
      </c>
      <c r="C43" s="22"/>
      <c r="D43" s="23"/>
      <c r="E43" s="23"/>
      <c r="F43" s="23"/>
      <c r="G43" s="24"/>
    </row>
    <row r="44" spans="1:7" ht="12.75">
      <c r="A44" s="8"/>
      <c r="B44" s="8"/>
      <c r="C44" s="8"/>
      <c r="D44" s="8"/>
      <c r="E44" s="8"/>
      <c r="F44" s="8"/>
      <c r="G44" s="8"/>
    </row>
  </sheetData>
  <sheetProtection password="C7C6" sheet="1" objects="1" scenarios="1"/>
  <mergeCells count="11">
    <mergeCell ref="I22:N22"/>
    <mergeCell ref="I23:N23"/>
    <mergeCell ref="I24:N24"/>
    <mergeCell ref="I2:N2"/>
    <mergeCell ref="A41:G41"/>
    <mergeCell ref="I7:N7"/>
    <mergeCell ref="B2:F2"/>
    <mergeCell ref="A7:G7"/>
    <mergeCell ref="A36:G36"/>
    <mergeCell ref="A28:G28"/>
    <mergeCell ref="I25:N25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Leopold Kober</dc:creator>
  <cp:keywords/>
  <dc:description/>
  <cp:lastModifiedBy>Carmen Wunder</cp:lastModifiedBy>
  <cp:lastPrinted>2018-04-27T05:29:28Z</cp:lastPrinted>
  <dcterms:created xsi:type="dcterms:W3CDTF">2004-01-08T13:49:32Z</dcterms:created>
  <dcterms:modified xsi:type="dcterms:W3CDTF">2024-04-26T06:12:08Z</dcterms:modified>
  <cp:category/>
  <cp:version/>
  <cp:contentType/>
  <cp:contentStatus/>
</cp:coreProperties>
</file>